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Sheet1" sheetId="1" r:id="rId1"/>
    <sheet name="Sheet3" sheetId="2" r:id="rId2"/>
  </sheets>
  <definedNames>
    <definedName name="_xlnm.Print_Area" localSheetId="0">'Sheet1'!$B$1:$K$57</definedName>
  </definedNames>
  <calcPr fullCalcOnLoad="1"/>
</workbook>
</file>

<file path=xl/sharedStrings.xml><?xml version="1.0" encoding="utf-8"?>
<sst xmlns="http://schemas.openxmlformats.org/spreadsheetml/2006/main" count="96" uniqueCount="55">
  <si>
    <t>Update</t>
  </si>
  <si>
    <t>Last</t>
  </si>
  <si>
    <t>Adults</t>
  </si>
  <si>
    <t>Jacks</t>
  </si>
  <si>
    <t>Coastal</t>
  </si>
  <si>
    <t>Hatchery/Dam</t>
  </si>
  <si>
    <t>a/ Complete Return</t>
  </si>
  <si>
    <t>Winchester Dam</t>
  </si>
  <si>
    <t>Elochoman</t>
  </si>
  <si>
    <t>Lewis</t>
  </si>
  <si>
    <t>Cowlitz</t>
  </si>
  <si>
    <t>Columbia River Total</t>
  </si>
  <si>
    <t>Oregon Subtotal</t>
  </si>
  <si>
    <t>Washington Subtotal</t>
  </si>
  <si>
    <t>Grand Total</t>
  </si>
  <si>
    <t>Columbia River</t>
  </si>
  <si>
    <t>N. Fk. Clackamas</t>
  </si>
  <si>
    <t>Smolts</t>
  </si>
  <si>
    <t>Avg</t>
  </si>
  <si>
    <t>High</t>
  </si>
  <si>
    <t>Low</t>
  </si>
  <si>
    <t>California Subtotal</t>
  </si>
  <si>
    <t>Coastal  Total</t>
  </si>
  <si>
    <t>est fw catch</t>
  </si>
  <si>
    <r>
      <t>Marmot Dam</t>
    </r>
    <r>
      <rPr>
        <i/>
        <sz val="12"/>
        <rFont val="Times New Roman"/>
        <family val="1"/>
      </rPr>
      <t xml:space="preserve"> </t>
    </r>
  </si>
  <si>
    <t>Kalama Complex</t>
  </si>
  <si>
    <t xml:space="preserve">Nehalem </t>
  </si>
  <si>
    <t xml:space="preserve">Trask </t>
  </si>
  <si>
    <t xml:space="preserve">Salmon River </t>
  </si>
  <si>
    <t xml:space="preserve">Bandon </t>
  </si>
  <si>
    <t>Cole Rivers</t>
  </si>
  <si>
    <t xml:space="preserve">Trinity River </t>
  </si>
  <si>
    <r>
      <t>Iron Gate</t>
    </r>
    <r>
      <rPr>
        <i/>
        <sz val="12"/>
        <rFont val="Times New Roman"/>
        <family val="1"/>
      </rPr>
      <t xml:space="preserve"> </t>
    </r>
  </si>
  <si>
    <t xml:space="preserve">Sandy </t>
  </si>
  <si>
    <t xml:space="preserve">Bonneville Hatchery </t>
  </si>
  <si>
    <t>Klaskanine</t>
  </si>
  <si>
    <r>
      <t>Willamette Falls</t>
    </r>
    <r>
      <rPr>
        <i/>
        <sz val="12"/>
        <rFont val="Times New Roman"/>
        <family val="1"/>
      </rPr>
      <t xml:space="preserve"> </t>
    </r>
  </si>
  <si>
    <r>
      <t>Bonneville Dam</t>
    </r>
    <r>
      <rPr>
        <i/>
        <sz val="12"/>
        <rFont val="Times New Roman"/>
        <family val="1"/>
      </rPr>
      <t xml:space="preserve">  </t>
    </r>
  </si>
  <si>
    <t xml:space="preserve">Big Creek </t>
  </si>
  <si>
    <r>
      <t xml:space="preserve">2003 </t>
    </r>
    <r>
      <rPr>
        <i/>
        <sz val="12"/>
        <rFont val="Times New Roman"/>
        <family val="1"/>
      </rPr>
      <t>a/</t>
    </r>
  </si>
  <si>
    <t>EARLY STOCK</t>
  </si>
  <si>
    <t>LATE STOCK</t>
  </si>
  <si>
    <t xml:space="preserve">CEDC </t>
  </si>
  <si>
    <t xml:space="preserve">Eagle Creek </t>
  </si>
  <si>
    <t xml:space="preserve">Grays River </t>
  </si>
  <si>
    <t xml:space="preserve">Toutle </t>
  </si>
  <si>
    <r>
      <t xml:space="preserve">2004 </t>
    </r>
    <r>
      <rPr>
        <i/>
        <sz val="12"/>
        <rFont val="Times New Roman"/>
        <family val="1"/>
      </rPr>
      <t>a/</t>
    </r>
  </si>
  <si>
    <t>Preliminary 2006 coho hatchery escapements and dam counts.</t>
  </si>
  <si>
    <r>
      <t xml:space="preserve">Select Area Jacks </t>
    </r>
    <r>
      <rPr>
        <i/>
        <sz val="12"/>
        <rFont val="Times New Roman"/>
        <family val="1"/>
      </rPr>
      <t>a/</t>
    </r>
    <r>
      <rPr>
        <sz val="12"/>
        <rFont val="Times New Roman"/>
        <family val="0"/>
      </rPr>
      <t xml:space="preserve"> </t>
    </r>
  </si>
  <si>
    <t>12//6/2006</t>
  </si>
  <si>
    <t>11/61/2006</t>
  </si>
  <si>
    <t xml:space="preserve">Grays River a/ </t>
  </si>
  <si>
    <t>Elochoman a/</t>
  </si>
  <si>
    <t xml:space="preserve">Toutle a/ </t>
  </si>
  <si>
    <t>Kalama Complex a/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</si>
</sst>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6">
    <font>
      <sz val="12"/>
      <name val="Times New Roman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4" fontId="0" fillId="0" borderId="3" xfId="0" applyNumberFormat="1" applyBorder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3" fontId="0" fillId="0" borderId="5" xfId="15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14" fontId="0" fillId="0" borderId="0" xfId="0" applyNumberFormat="1" applyFill="1" applyAlignment="1">
      <alignment/>
    </xf>
    <xf numFmtId="173" fontId="0" fillId="0" borderId="6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173" fontId="0" fillId="0" borderId="7" xfId="15" applyNumberFormat="1" applyFill="1" applyBorder="1" applyAlignment="1">
      <alignment/>
    </xf>
    <xf numFmtId="173" fontId="0" fillId="0" borderId="8" xfId="15" applyNumberFormat="1" applyFill="1" applyBorder="1" applyAlignment="1">
      <alignment/>
    </xf>
    <xf numFmtId="173" fontId="0" fillId="0" borderId="9" xfId="15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1" xfId="0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1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14" fontId="0" fillId="0" borderId="8" xfId="0" applyNumberFormat="1" applyBorder="1" applyAlignment="1">
      <alignment/>
    </xf>
    <xf numFmtId="173" fontId="0" fillId="0" borderId="12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12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8" xfId="15" applyNumberFormat="1" applyFill="1" applyBorder="1" applyAlignment="1">
      <alignment/>
    </xf>
    <xf numFmtId="9" fontId="0" fillId="0" borderId="0" xfId="19" applyFill="1" applyAlignment="1">
      <alignment/>
    </xf>
    <xf numFmtId="9" fontId="0" fillId="0" borderId="0" xfId="19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14" xfId="15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15" xfId="15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4" fontId="0" fillId="0" borderId="12" xfId="0" applyNumberFormat="1" applyFill="1" applyBorder="1" applyAlignment="1">
      <alignment/>
    </xf>
    <xf numFmtId="14" fontId="0" fillId="0" borderId="18" xfId="0" applyNumberFormat="1" applyFill="1" applyBorder="1" applyAlignment="1">
      <alignment/>
    </xf>
    <xf numFmtId="173" fontId="0" fillId="0" borderId="19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173" fontId="0" fillId="0" borderId="12" xfId="15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73" fontId="0" fillId="0" borderId="20" xfId="0" applyNumberForma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3" fontId="0" fillId="0" borderId="0" xfId="0" applyNumberFormat="1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65"/>
  <sheetViews>
    <sheetView tabSelected="1" zoomScale="75" zoomScaleNormal="75" workbookViewId="0" topLeftCell="A1">
      <selection activeCell="O35" sqref="O35"/>
    </sheetView>
  </sheetViews>
  <sheetFormatPr defaultColWidth="9.00390625" defaultRowHeight="15.75"/>
  <cols>
    <col min="2" max="2" width="20.50390625" style="0" customWidth="1"/>
    <col min="3" max="3" width="10.50390625" style="0" customWidth="1"/>
    <col min="4" max="5" width="9.375" style="0" customWidth="1"/>
    <col min="6" max="6" width="10.375" style="0" bestFit="1" customWidth="1"/>
    <col min="7" max="7" width="9.25390625" style="0" bestFit="1" customWidth="1"/>
    <col min="8" max="8" width="10.25390625" style="0" customWidth="1"/>
    <col min="9" max="9" width="9.125" style="0" bestFit="1" customWidth="1"/>
    <col min="11" max="11" width="10.00390625" style="0" customWidth="1"/>
    <col min="13" max="13" width="16.25390625" style="0" bestFit="1" customWidth="1"/>
  </cols>
  <sheetData>
    <row r="1" ht="18.75">
      <c r="B1" s="12" t="s">
        <v>47</v>
      </c>
    </row>
    <row r="2" spans="2:13" ht="15.75">
      <c r="B2" s="3"/>
      <c r="C2" s="3" t="s">
        <v>1</v>
      </c>
      <c r="D2" s="74">
        <v>2006</v>
      </c>
      <c r="E2" s="75"/>
      <c r="F2" s="76">
        <v>2005</v>
      </c>
      <c r="G2" s="77"/>
      <c r="H2" s="69" t="s">
        <v>46</v>
      </c>
      <c r="I2" s="70"/>
      <c r="J2" s="69" t="s">
        <v>39</v>
      </c>
      <c r="K2" s="71"/>
      <c r="L2" s="36"/>
      <c r="M2" s="36"/>
    </row>
    <row r="3" spans="2:13" ht="16.5" thickBot="1">
      <c r="B3" s="5" t="s">
        <v>5</v>
      </c>
      <c r="C3" s="5" t="s">
        <v>0</v>
      </c>
      <c r="D3" s="13" t="s">
        <v>2</v>
      </c>
      <c r="E3" s="5" t="s">
        <v>3</v>
      </c>
      <c r="F3" s="50" t="s">
        <v>2</v>
      </c>
      <c r="G3" s="51" t="s">
        <v>3</v>
      </c>
      <c r="H3" s="50" t="s">
        <v>2</v>
      </c>
      <c r="I3" s="51" t="s">
        <v>3</v>
      </c>
      <c r="J3" s="50" t="s">
        <v>2</v>
      </c>
      <c r="K3" s="73" t="s">
        <v>3</v>
      </c>
      <c r="L3" s="36"/>
      <c r="M3" s="36"/>
    </row>
    <row r="4" spans="4:13" ht="5.25" customHeight="1">
      <c r="D4" s="14"/>
      <c r="E4" s="15"/>
      <c r="F4" s="25"/>
      <c r="G4" s="26"/>
      <c r="H4" s="25"/>
      <c r="I4" s="26"/>
      <c r="J4" s="25"/>
      <c r="K4" s="26"/>
      <c r="L4" s="36"/>
      <c r="M4" s="36"/>
    </row>
    <row r="5" spans="2:14" ht="15.75">
      <c r="B5" s="1" t="s">
        <v>4</v>
      </c>
      <c r="C5" s="4"/>
      <c r="D5" s="16"/>
      <c r="E5" s="28"/>
      <c r="F5" s="27"/>
      <c r="G5" s="28"/>
      <c r="H5" s="27"/>
      <c r="I5" s="28"/>
      <c r="J5" s="27"/>
      <c r="K5" s="28"/>
      <c r="L5" s="36"/>
      <c r="M5" s="36"/>
      <c r="N5" s="36"/>
    </row>
    <row r="6" spans="2:14" ht="15.75">
      <c r="B6" t="s">
        <v>26</v>
      </c>
      <c r="C6" s="2">
        <v>39052</v>
      </c>
      <c r="D6" s="22">
        <v>1073</v>
      </c>
      <c r="E6" s="18">
        <v>25</v>
      </c>
      <c r="F6" s="22">
        <v>1689</v>
      </c>
      <c r="G6" s="18">
        <v>142</v>
      </c>
      <c r="H6" s="22">
        <v>1445</v>
      </c>
      <c r="I6" s="18">
        <v>198</v>
      </c>
      <c r="J6" s="22">
        <v>1653</v>
      </c>
      <c r="K6" s="63">
        <v>84</v>
      </c>
      <c r="L6" s="47"/>
      <c r="M6" s="47"/>
      <c r="N6" s="36"/>
    </row>
    <row r="7" spans="2:14" ht="15.75">
      <c r="B7" t="s">
        <v>27</v>
      </c>
      <c r="C7" s="2">
        <v>39041</v>
      </c>
      <c r="D7" s="54">
        <v>1519</v>
      </c>
      <c r="E7" s="18">
        <v>12</v>
      </c>
      <c r="F7" s="54">
        <f>1547+96</f>
        <v>1643</v>
      </c>
      <c r="G7" s="18">
        <f>160+13</f>
        <v>173</v>
      </c>
      <c r="H7" s="17">
        <v>2128</v>
      </c>
      <c r="I7" s="18">
        <v>83</v>
      </c>
      <c r="J7" s="17">
        <v>4836</v>
      </c>
      <c r="K7" s="31">
        <v>171</v>
      </c>
      <c r="L7" s="47"/>
      <c r="M7" s="47"/>
      <c r="N7" s="36"/>
    </row>
    <row r="8" spans="2:49" ht="15.75">
      <c r="B8" t="s">
        <v>28</v>
      </c>
      <c r="C8" s="2"/>
      <c r="D8" s="17"/>
      <c r="E8" s="35"/>
      <c r="F8" s="17">
        <v>1438</v>
      </c>
      <c r="G8" s="35">
        <v>119</v>
      </c>
      <c r="H8" s="17">
        <v>909</v>
      </c>
      <c r="I8" s="18">
        <v>63</v>
      </c>
      <c r="J8" s="17">
        <v>1950</v>
      </c>
      <c r="K8" s="31">
        <v>35</v>
      </c>
      <c r="L8" s="47"/>
      <c r="M8" s="48"/>
      <c r="N8" s="36"/>
      <c r="AW8" s="7">
        <f>G9-AW9</f>
        <v>-1492</v>
      </c>
    </row>
    <row r="9" spans="2:49" ht="15.75">
      <c r="B9" s="36" t="s">
        <v>7</v>
      </c>
      <c r="C9" s="19" t="s">
        <v>50</v>
      </c>
      <c r="D9" s="17">
        <v>8005</v>
      </c>
      <c r="E9" s="18">
        <v>891</v>
      </c>
      <c r="F9" s="17">
        <v>4855</v>
      </c>
      <c r="G9" s="18">
        <v>1879</v>
      </c>
      <c r="H9" s="17">
        <v>10859</v>
      </c>
      <c r="I9" s="18">
        <v>2537</v>
      </c>
      <c r="J9" s="17">
        <v>13667</v>
      </c>
      <c r="K9" s="31">
        <v>2493</v>
      </c>
      <c r="L9" s="47"/>
      <c r="M9" s="47"/>
      <c r="N9" s="36"/>
      <c r="AW9">
        <v>3371</v>
      </c>
    </row>
    <row r="10" spans="2:14" ht="15.75">
      <c r="B10" s="36" t="s">
        <v>29</v>
      </c>
      <c r="C10" s="2">
        <v>39049</v>
      </c>
      <c r="D10" s="17">
        <v>749</v>
      </c>
      <c r="E10" s="18">
        <v>5</v>
      </c>
      <c r="F10" s="17">
        <v>418</v>
      </c>
      <c r="G10" s="18">
        <v>100</v>
      </c>
      <c r="H10" s="17">
        <v>408</v>
      </c>
      <c r="I10" s="18">
        <v>66</v>
      </c>
      <c r="J10" s="17">
        <v>775</v>
      </c>
      <c r="K10" s="31">
        <v>58</v>
      </c>
      <c r="L10" s="47"/>
      <c r="M10" s="47"/>
      <c r="N10" s="36"/>
    </row>
    <row r="11" spans="2:15" ht="15.75">
      <c r="B11" s="36" t="s">
        <v>30</v>
      </c>
      <c r="C11" s="40">
        <v>39052</v>
      </c>
      <c r="D11" s="20">
        <v>2805</v>
      </c>
      <c r="E11" s="23">
        <v>216</v>
      </c>
      <c r="F11" s="20">
        <v>4876</v>
      </c>
      <c r="G11" s="23">
        <v>523</v>
      </c>
      <c r="H11" s="20">
        <v>8286</v>
      </c>
      <c r="I11" s="23">
        <v>404</v>
      </c>
      <c r="J11" s="20">
        <v>6654</v>
      </c>
      <c r="K11" s="23">
        <v>1471</v>
      </c>
      <c r="L11" s="47"/>
      <c r="M11" s="48"/>
      <c r="N11" s="36"/>
      <c r="O11" s="7"/>
    </row>
    <row r="12" spans="2:48" ht="15.75">
      <c r="B12" s="37" t="s">
        <v>12</v>
      </c>
      <c r="C12" s="19"/>
      <c r="D12" s="24">
        <f aca="true" t="shared" si="0" ref="D12:K12">SUM(D6:D11)</f>
        <v>14151</v>
      </c>
      <c r="E12" s="24">
        <f t="shared" si="0"/>
        <v>1149</v>
      </c>
      <c r="F12" s="24">
        <f t="shared" si="0"/>
        <v>14919</v>
      </c>
      <c r="G12" s="24">
        <f t="shared" si="0"/>
        <v>2936</v>
      </c>
      <c r="H12" s="24">
        <f t="shared" si="0"/>
        <v>24035</v>
      </c>
      <c r="I12" s="24">
        <f t="shared" si="0"/>
        <v>3351</v>
      </c>
      <c r="J12" s="24">
        <f t="shared" si="0"/>
        <v>29535</v>
      </c>
      <c r="K12" s="32">
        <f t="shared" si="0"/>
        <v>4312</v>
      </c>
      <c r="L12" s="47"/>
      <c r="M12" s="47"/>
      <c r="N12" s="36"/>
      <c r="AV12" s="7">
        <f>F12-F9</f>
        <v>10064</v>
      </c>
    </row>
    <row r="13" spans="2:14" ht="15.75">
      <c r="B13" s="36" t="s">
        <v>31</v>
      </c>
      <c r="C13" s="19">
        <v>39030</v>
      </c>
      <c r="D13" s="17">
        <v>2019</v>
      </c>
      <c r="E13" s="18">
        <v>518</v>
      </c>
      <c r="F13" s="17">
        <v>16624</v>
      </c>
      <c r="G13" s="18">
        <v>1731</v>
      </c>
      <c r="H13" s="17">
        <v>9906</v>
      </c>
      <c r="I13" s="18">
        <v>1077</v>
      </c>
      <c r="J13" s="17">
        <v>10396</v>
      </c>
      <c r="K13" s="63">
        <v>1463</v>
      </c>
      <c r="L13" s="47"/>
      <c r="M13" s="47"/>
      <c r="N13" s="36"/>
    </row>
    <row r="14" spans="2:14" ht="15.75">
      <c r="B14" s="36" t="s">
        <v>32</v>
      </c>
      <c r="C14" s="19">
        <v>39053</v>
      </c>
      <c r="D14" s="20">
        <v>263</v>
      </c>
      <c r="E14" s="21">
        <v>69</v>
      </c>
      <c r="F14" s="20">
        <v>1395</v>
      </c>
      <c r="G14" s="21">
        <v>30</v>
      </c>
      <c r="H14" s="20">
        <v>1495</v>
      </c>
      <c r="I14" s="23">
        <v>239</v>
      </c>
      <c r="J14" s="20">
        <v>1317</v>
      </c>
      <c r="K14" s="23">
        <v>241</v>
      </c>
      <c r="L14" s="47"/>
      <c r="M14" s="47"/>
      <c r="N14" s="36"/>
    </row>
    <row r="15" spans="2:14" ht="15.75">
      <c r="B15" s="37" t="s">
        <v>21</v>
      </c>
      <c r="C15" s="38"/>
      <c r="D15" s="20">
        <f aca="true" t="shared" si="1" ref="D15:K15">D14+D13</f>
        <v>2282</v>
      </c>
      <c r="E15" s="20">
        <f t="shared" si="1"/>
        <v>587</v>
      </c>
      <c r="F15" s="20">
        <f t="shared" si="1"/>
        <v>18019</v>
      </c>
      <c r="G15" s="20">
        <f t="shared" si="1"/>
        <v>1761</v>
      </c>
      <c r="H15" s="20">
        <f t="shared" si="1"/>
        <v>11401</v>
      </c>
      <c r="I15" s="20">
        <f t="shared" si="1"/>
        <v>1316</v>
      </c>
      <c r="J15" s="20">
        <f t="shared" si="1"/>
        <v>11713</v>
      </c>
      <c r="K15" s="55">
        <f t="shared" si="1"/>
        <v>1704</v>
      </c>
      <c r="L15" s="47"/>
      <c r="M15" s="47"/>
      <c r="N15" s="36"/>
    </row>
    <row r="16" spans="2:14" ht="15.75">
      <c r="B16" s="37" t="s">
        <v>22</v>
      </c>
      <c r="C16" s="19"/>
      <c r="D16" s="24">
        <f aca="true" t="shared" si="2" ref="D16:K16">D15+D12</f>
        <v>16433</v>
      </c>
      <c r="E16" s="24">
        <f t="shared" si="2"/>
        <v>1736</v>
      </c>
      <c r="F16" s="24">
        <f t="shared" si="2"/>
        <v>32938</v>
      </c>
      <c r="G16" s="24">
        <f t="shared" si="2"/>
        <v>4697</v>
      </c>
      <c r="H16" s="24">
        <f t="shared" si="2"/>
        <v>35436</v>
      </c>
      <c r="I16" s="24">
        <f t="shared" si="2"/>
        <v>4667</v>
      </c>
      <c r="J16" s="24">
        <f t="shared" si="2"/>
        <v>41248</v>
      </c>
      <c r="K16" s="32">
        <f t="shared" si="2"/>
        <v>6016</v>
      </c>
      <c r="L16" s="47"/>
      <c r="M16" s="47"/>
      <c r="N16" s="36"/>
    </row>
    <row r="17" spans="2:14" ht="8.25" customHeight="1">
      <c r="B17" s="36"/>
      <c r="C17" s="36"/>
      <c r="D17" s="25"/>
      <c r="E17" s="26"/>
      <c r="F17" s="25"/>
      <c r="G17" s="26"/>
      <c r="H17" s="25"/>
      <c r="I17" s="26"/>
      <c r="J17" s="25"/>
      <c r="K17" s="26"/>
      <c r="L17" s="47"/>
      <c r="M17" s="47"/>
      <c r="N17" s="36"/>
    </row>
    <row r="18" spans="2:51" ht="15.75">
      <c r="B18" s="39" t="s">
        <v>15</v>
      </c>
      <c r="C18" s="28"/>
      <c r="D18" s="27"/>
      <c r="E18" s="28"/>
      <c r="F18" s="27"/>
      <c r="G18" s="28"/>
      <c r="H18" s="27"/>
      <c r="I18" s="28"/>
      <c r="J18" s="27"/>
      <c r="K18" s="28"/>
      <c r="L18" s="47"/>
      <c r="M18" s="47"/>
      <c r="N18" s="36"/>
      <c r="AY18" t="s">
        <v>23</v>
      </c>
    </row>
    <row r="19" spans="2:51" ht="15.75">
      <c r="B19" s="36" t="s">
        <v>38</v>
      </c>
      <c r="C19" s="2" t="s">
        <v>49</v>
      </c>
      <c r="D19" s="17">
        <v>6172</v>
      </c>
      <c r="E19" s="35">
        <v>1226</v>
      </c>
      <c r="F19" s="17">
        <v>6555</v>
      </c>
      <c r="G19" s="18">
        <v>704</v>
      </c>
      <c r="H19" s="17">
        <v>3545</v>
      </c>
      <c r="I19" s="18">
        <v>1498</v>
      </c>
      <c r="J19" s="17">
        <v>7946</v>
      </c>
      <c r="K19" s="63">
        <v>972</v>
      </c>
      <c r="L19" s="47"/>
      <c r="M19" s="47"/>
      <c r="N19" s="36"/>
      <c r="AY19" s="7">
        <f>(F19/0.9)-F19</f>
        <v>728.333333333333</v>
      </c>
    </row>
    <row r="20" spans="2:49" ht="15.75">
      <c r="B20" s="36" t="s">
        <v>48</v>
      </c>
      <c r="C20" s="2">
        <v>39043</v>
      </c>
      <c r="D20" s="17">
        <v>0</v>
      </c>
      <c r="E20" s="18">
        <v>957</v>
      </c>
      <c r="F20" s="17">
        <v>0</v>
      </c>
      <c r="G20" s="18">
        <v>857</v>
      </c>
      <c r="H20" s="17">
        <v>0</v>
      </c>
      <c r="I20" s="18">
        <v>4129</v>
      </c>
      <c r="J20" s="17">
        <v>0</v>
      </c>
      <c r="K20" s="31">
        <v>719</v>
      </c>
      <c r="L20" s="47"/>
      <c r="M20" s="47"/>
      <c r="N20" s="36"/>
      <c r="AW20" s="3" t="s">
        <v>17</v>
      </c>
    </row>
    <row r="21" spans="2:49" ht="15.75" customHeight="1">
      <c r="B21" t="s">
        <v>42</v>
      </c>
      <c r="C21" s="2"/>
      <c r="D21" s="17"/>
      <c r="E21" s="18"/>
      <c r="F21" s="17"/>
      <c r="G21" s="18"/>
      <c r="H21" s="17">
        <v>1135</v>
      </c>
      <c r="I21" s="18">
        <v>54</v>
      </c>
      <c r="J21" s="17">
        <v>1917</v>
      </c>
      <c r="K21" s="31">
        <v>171</v>
      </c>
      <c r="L21" s="47"/>
      <c r="M21" s="47"/>
      <c r="N21" s="36"/>
      <c r="AV21">
        <v>1997</v>
      </c>
      <c r="AW21">
        <v>21.01</v>
      </c>
    </row>
    <row r="22" spans="2:49" ht="15.75">
      <c r="B22" t="s">
        <v>35</v>
      </c>
      <c r="C22" s="2">
        <v>39022</v>
      </c>
      <c r="D22" s="17">
        <v>16</v>
      </c>
      <c r="E22" s="18">
        <v>18</v>
      </c>
      <c r="F22" s="17">
        <v>28</v>
      </c>
      <c r="G22" s="18">
        <v>4</v>
      </c>
      <c r="H22" s="17">
        <v>61</v>
      </c>
      <c r="I22" s="18">
        <v>111</v>
      </c>
      <c r="J22" s="17">
        <v>184</v>
      </c>
      <c r="K22" s="31">
        <v>109</v>
      </c>
      <c r="L22" s="47"/>
      <c r="M22" s="47"/>
      <c r="N22" s="36"/>
      <c r="AV22">
        <v>1998</v>
      </c>
      <c r="AW22">
        <v>26.82</v>
      </c>
    </row>
    <row r="23" spans="2:51" ht="15.75">
      <c r="B23" s="36" t="s">
        <v>43</v>
      </c>
      <c r="C23" s="2">
        <v>39057</v>
      </c>
      <c r="D23" s="17">
        <v>14153</v>
      </c>
      <c r="E23" s="18">
        <v>2685</v>
      </c>
      <c r="F23" s="17">
        <v>8921</v>
      </c>
      <c r="G23" s="18">
        <v>1020</v>
      </c>
      <c r="H23" s="17">
        <v>7776</v>
      </c>
      <c r="I23" s="18">
        <v>567</v>
      </c>
      <c r="J23" s="17">
        <v>4812</v>
      </c>
      <c r="K23" s="31">
        <v>879</v>
      </c>
      <c r="L23" s="47"/>
      <c r="M23" s="47"/>
      <c r="N23" s="36"/>
      <c r="AV23">
        <v>1999</v>
      </c>
      <c r="AW23">
        <v>27.93</v>
      </c>
      <c r="AY23" s="7">
        <f>(F23/0.9)-F23</f>
        <v>991.2222222222226</v>
      </c>
    </row>
    <row r="24" spans="2:51" ht="15.75">
      <c r="B24" t="s">
        <v>33</v>
      </c>
      <c r="C24" s="2">
        <v>39057</v>
      </c>
      <c r="D24" s="17">
        <f>8406+101</f>
        <v>8507</v>
      </c>
      <c r="E24" s="35">
        <f>1819+18</f>
        <v>1837</v>
      </c>
      <c r="F24" s="17">
        <f>9876+139</f>
        <v>10015</v>
      </c>
      <c r="G24" s="35">
        <f>778+7</f>
        <v>785</v>
      </c>
      <c r="H24" s="17">
        <f>15920+184+22</f>
        <v>16126</v>
      </c>
      <c r="I24" s="35">
        <v>548</v>
      </c>
      <c r="J24" s="17">
        <v>8921</v>
      </c>
      <c r="K24" s="41">
        <v>1456</v>
      </c>
      <c r="L24" s="47"/>
      <c r="M24" s="47"/>
      <c r="N24" s="36"/>
      <c r="AV24" t="s">
        <v>18</v>
      </c>
      <c r="AW24">
        <f>AVERAGE(AW21:AW23)</f>
        <v>25.25333333333333</v>
      </c>
      <c r="AY24" s="7">
        <f>(F24/0.9)-F24</f>
        <v>1112.7777777777774</v>
      </c>
    </row>
    <row r="25" spans="2:14" ht="15.75">
      <c r="B25" t="s">
        <v>34</v>
      </c>
      <c r="C25" s="40">
        <v>39050</v>
      </c>
      <c r="D25" s="42">
        <f>37455+546</f>
        <v>38001</v>
      </c>
      <c r="E25" s="23">
        <f>4547+26</f>
        <v>4573</v>
      </c>
      <c r="F25" s="42">
        <f>25282+327</f>
        <v>25609</v>
      </c>
      <c r="G25" s="23">
        <f>1455+3</f>
        <v>1458</v>
      </c>
      <c r="H25" s="42">
        <f>23762+676</f>
        <v>24438</v>
      </c>
      <c r="I25" s="23">
        <v>386</v>
      </c>
      <c r="J25" s="20">
        <v>36318</v>
      </c>
      <c r="K25" s="23">
        <v>472</v>
      </c>
      <c r="L25" s="47"/>
      <c r="M25" s="47"/>
      <c r="N25" s="36"/>
    </row>
    <row r="26" spans="2:14" ht="15.75">
      <c r="B26" s="8" t="s">
        <v>12</v>
      </c>
      <c r="D26" s="67">
        <f aca="true" t="shared" si="3" ref="D26:K26">SUM(D19:D25)</f>
        <v>66849</v>
      </c>
      <c r="E26" s="68">
        <f t="shared" si="3"/>
        <v>11296</v>
      </c>
      <c r="F26" s="29">
        <f t="shared" si="3"/>
        <v>51128</v>
      </c>
      <c r="G26" s="30">
        <f t="shared" si="3"/>
        <v>4828</v>
      </c>
      <c r="H26" s="29">
        <f t="shared" si="3"/>
        <v>53081</v>
      </c>
      <c r="I26" s="30">
        <f t="shared" si="3"/>
        <v>7293</v>
      </c>
      <c r="J26" s="29">
        <f t="shared" si="3"/>
        <v>60098</v>
      </c>
      <c r="K26" s="30">
        <f t="shared" si="3"/>
        <v>4778</v>
      </c>
      <c r="L26" s="47"/>
      <c r="M26" s="47"/>
      <c r="N26" s="36"/>
    </row>
    <row r="27" spans="2:49" ht="15.75">
      <c r="B27" s="36" t="s">
        <v>44</v>
      </c>
      <c r="C27" s="66">
        <v>39050</v>
      </c>
      <c r="D27" s="22">
        <f>+D44</f>
        <v>835</v>
      </c>
      <c r="E27" s="63">
        <f>+E44</f>
        <v>16</v>
      </c>
      <c r="F27" s="18">
        <v>4838</v>
      </c>
      <c r="G27" s="31">
        <v>0</v>
      </c>
      <c r="H27" s="17">
        <v>1676</v>
      </c>
      <c r="I27" s="31">
        <v>0</v>
      </c>
      <c r="J27" s="17">
        <v>520</v>
      </c>
      <c r="K27" s="31">
        <v>6</v>
      </c>
      <c r="L27" s="47"/>
      <c r="M27" s="72"/>
      <c r="AV27" t="s">
        <v>18</v>
      </c>
      <c r="AW27" s="11">
        <f>G39/(AW24*1000000)</f>
        <v>0.0010322201689545935</v>
      </c>
    </row>
    <row r="28" spans="2:49" ht="15.75">
      <c r="B28" s="36" t="s">
        <v>8</v>
      </c>
      <c r="C28" s="19">
        <v>39057</v>
      </c>
      <c r="D28" s="17">
        <f>+D45+D53</f>
        <v>2850</v>
      </c>
      <c r="E28" s="31">
        <f>+E45+E53</f>
        <v>48</v>
      </c>
      <c r="F28" s="18">
        <f>SUM(F45+F53)</f>
        <v>3582</v>
      </c>
      <c r="G28" s="18">
        <f>SUM(G45+G53)</f>
        <v>210</v>
      </c>
      <c r="H28" s="17">
        <f>5124+83+1024+100</f>
        <v>6331</v>
      </c>
      <c r="I28" s="31">
        <f>617+1+77</f>
        <v>695</v>
      </c>
      <c r="J28" s="17">
        <f>2800+28+5941+28</f>
        <v>8797</v>
      </c>
      <c r="K28" s="41">
        <f>204+149</f>
        <v>353</v>
      </c>
      <c r="L28" s="47"/>
      <c r="M28" s="72"/>
      <c r="N28" s="36"/>
      <c r="O28" s="36"/>
      <c r="AV28" t="s">
        <v>19</v>
      </c>
      <c r="AW28" s="11">
        <f>$G$39/($AW$22*1000000)</f>
        <v>0.0009719239373601789</v>
      </c>
    </row>
    <row r="29" spans="2:49" ht="15.75">
      <c r="B29" s="36" t="s">
        <v>10</v>
      </c>
      <c r="C29" s="19">
        <v>39057</v>
      </c>
      <c r="D29" s="17">
        <f>+D54</f>
        <v>51725</v>
      </c>
      <c r="E29" s="31">
        <f>+E54</f>
        <v>5235</v>
      </c>
      <c r="F29" s="18">
        <f>33685+7134+12</f>
        <v>40831</v>
      </c>
      <c r="G29" s="31">
        <f>4908+314</f>
        <v>5222</v>
      </c>
      <c r="H29" s="17">
        <f>44494+5407+128+15</f>
        <v>50044</v>
      </c>
      <c r="I29" s="31">
        <f>3923+271</f>
        <v>4194</v>
      </c>
      <c r="J29" s="17">
        <f>92+19+31127+8685</f>
        <v>39923</v>
      </c>
      <c r="K29" s="31">
        <f>35+16+8182+579</f>
        <v>8812</v>
      </c>
      <c r="L29" s="47"/>
      <c r="M29" s="72"/>
      <c r="N29" s="36"/>
      <c r="O29" s="36"/>
      <c r="AV29" t="s">
        <v>20</v>
      </c>
      <c r="AW29" s="11">
        <f>$G$39/($AW$21*1000000)</f>
        <v>0.0012406949071870539</v>
      </c>
    </row>
    <row r="30" spans="2:15" ht="15.75">
      <c r="B30" s="36" t="s">
        <v>45</v>
      </c>
      <c r="C30" s="66">
        <v>39043</v>
      </c>
      <c r="D30" s="44">
        <f>+D46</f>
        <v>6546</v>
      </c>
      <c r="E30" s="65">
        <f>+E46</f>
        <v>4</v>
      </c>
      <c r="F30" s="60">
        <f>8055+54</f>
        <v>8109</v>
      </c>
      <c r="G30" s="31">
        <v>44</v>
      </c>
      <c r="H30" s="44">
        <f>25462+230</f>
        <v>25692</v>
      </c>
      <c r="I30" s="31">
        <v>0</v>
      </c>
      <c r="J30" s="17">
        <f>30018+2034</f>
        <v>32052</v>
      </c>
      <c r="K30" s="31">
        <v>186</v>
      </c>
      <c r="L30" s="47"/>
      <c r="M30" s="72"/>
      <c r="N30" s="36"/>
      <c r="O30" s="36"/>
    </row>
    <row r="31" spans="2:13" ht="15.75">
      <c r="B31" s="36" t="s">
        <v>25</v>
      </c>
      <c r="C31" s="19">
        <v>39057</v>
      </c>
      <c r="D31" s="17">
        <f>+D47+D55</f>
        <v>8655</v>
      </c>
      <c r="E31" s="31">
        <f>+E47+E55</f>
        <v>553</v>
      </c>
      <c r="F31" s="18">
        <f>F47+F55</f>
        <v>2995</v>
      </c>
      <c r="G31" s="18">
        <f>G47+G55</f>
        <v>420</v>
      </c>
      <c r="H31" s="17">
        <f>866+51+621+4+3156+168</f>
        <v>4866</v>
      </c>
      <c r="I31" s="43">
        <f>79+13+179+6</f>
        <v>277</v>
      </c>
      <c r="J31" s="17">
        <f>1442+516+3255+53+3169+906</f>
        <v>9341</v>
      </c>
      <c r="K31" s="31">
        <f>62+52+31+3+832+57</f>
        <v>1037</v>
      </c>
      <c r="L31" s="47"/>
      <c r="M31" s="72"/>
    </row>
    <row r="32" spans="2:13" ht="15.75">
      <c r="B32" s="36" t="s">
        <v>9</v>
      </c>
      <c r="C32" s="38">
        <v>39056</v>
      </c>
      <c r="D32" s="20">
        <f>+D48+D56</f>
        <v>31933</v>
      </c>
      <c r="E32" s="23">
        <f>+E48+E56</f>
        <v>6213</v>
      </c>
      <c r="F32" s="21">
        <f>F48+F56</f>
        <v>42844</v>
      </c>
      <c r="G32" s="18">
        <f>G48+G56</f>
        <v>4700</v>
      </c>
      <c r="H32" s="45">
        <f>10176+119+11677+162+4581+102+2531+6169+561</f>
        <v>36078</v>
      </c>
      <c r="I32" s="46">
        <f>1188+250+1428+48+235+2</f>
        <v>3151</v>
      </c>
      <c r="J32" s="20">
        <f>30874+343+7030+117+13630+363+1832+7590+866</f>
        <v>62645</v>
      </c>
      <c r="K32" s="23">
        <f>1722+3+136+821+1+1481+1+451</f>
        <v>4616</v>
      </c>
      <c r="L32" s="47"/>
      <c r="M32" s="72"/>
    </row>
    <row r="33" spans="2:48" ht="15.75">
      <c r="B33" s="8" t="s">
        <v>13</v>
      </c>
      <c r="C33" s="2"/>
      <c r="D33" s="20">
        <f aca="true" t="shared" si="4" ref="D33:K33">SUM(D27:D32)</f>
        <v>102544</v>
      </c>
      <c r="E33" s="55">
        <f t="shared" si="4"/>
        <v>12069</v>
      </c>
      <c r="F33" s="20">
        <f t="shared" si="4"/>
        <v>103199</v>
      </c>
      <c r="G33" s="32">
        <f t="shared" si="4"/>
        <v>10596</v>
      </c>
      <c r="H33" s="24">
        <f t="shared" si="4"/>
        <v>124687</v>
      </c>
      <c r="I33" s="32">
        <f t="shared" si="4"/>
        <v>8317</v>
      </c>
      <c r="J33" s="24">
        <f t="shared" si="4"/>
        <v>153278</v>
      </c>
      <c r="K33" s="32">
        <f t="shared" si="4"/>
        <v>15010</v>
      </c>
      <c r="L33" s="47"/>
      <c r="M33" s="72"/>
      <c r="AV33" s="7">
        <f>F33+F26</f>
        <v>154327</v>
      </c>
    </row>
    <row r="34" spans="2:14" ht="15.75">
      <c r="B34" s="10" t="s">
        <v>36</v>
      </c>
      <c r="C34" s="19">
        <v>39055</v>
      </c>
      <c r="D34" s="17">
        <v>6168</v>
      </c>
      <c r="E34" s="18">
        <v>1612</v>
      </c>
      <c r="F34" s="17">
        <v>1322</v>
      </c>
      <c r="G34" s="18">
        <v>271</v>
      </c>
      <c r="H34" s="17">
        <v>2849</v>
      </c>
      <c r="I34" s="18">
        <v>524</v>
      </c>
      <c r="J34" s="17">
        <v>7908</v>
      </c>
      <c r="K34" s="63">
        <v>1869</v>
      </c>
      <c r="L34" s="47"/>
      <c r="M34" s="72"/>
      <c r="N34" s="53"/>
    </row>
    <row r="35" spans="2:13" ht="15.75">
      <c r="B35" s="52" t="s">
        <v>24</v>
      </c>
      <c r="C35" s="19">
        <v>39051</v>
      </c>
      <c r="D35" s="17">
        <v>773</v>
      </c>
      <c r="E35" s="18">
        <v>14</v>
      </c>
      <c r="F35" s="17">
        <v>717</v>
      </c>
      <c r="G35" s="18">
        <v>28</v>
      </c>
      <c r="H35" s="17">
        <v>1025</v>
      </c>
      <c r="I35" s="18">
        <v>7</v>
      </c>
      <c r="J35" s="17">
        <v>1173</v>
      </c>
      <c r="K35" s="31">
        <v>25</v>
      </c>
      <c r="L35" s="47"/>
      <c r="M35" s="72"/>
    </row>
    <row r="36" spans="2:48" ht="15.75">
      <c r="B36" s="52" t="s">
        <v>16</v>
      </c>
      <c r="C36" s="19">
        <v>39058</v>
      </c>
      <c r="D36" s="17">
        <v>2304</v>
      </c>
      <c r="E36" s="18">
        <v>160</v>
      </c>
      <c r="F36" s="17">
        <v>1194</v>
      </c>
      <c r="G36" s="18">
        <v>161</v>
      </c>
      <c r="H36" s="17">
        <v>1940</v>
      </c>
      <c r="I36" s="18">
        <v>115</v>
      </c>
      <c r="J36" s="17">
        <v>2093</v>
      </c>
      <c r="K36" s="31">
        <v>191</v>
      </c>
      <c r="L36" s="47"/>
      <c r="M36" s="72"/>
      <c r="AV36" s="7">
        <f>F34+F35+F36</f>
        <v>3233</v>
      </c>
    </row>
    <row r="37" spans="2:13" ht="15.75">
      <c r="B37" t="s">
        <v>37</v>
      </c>
      <c r="C37" s="19">
        <v>39057</v>
      </c>
      <c r="D37" s="20">
        <v>101087</v>
      </c>
      <c r="E37" s="23">
        <v>7920</v>
      </c>
      <c r="F37" s="20">
        <v>83044</v>
      </c>
      <c r="G37" s="23">
        <v>5486</v>
      </c>
      <c r="H37" s="20">
        <v>115018</v>
      </c>
      <c r="I37" s="23">
        <v>4808</v>
      </c>
      <c r="J37" s="20">
        <v>125806</v>
      </c>
      <c r="K37" s="23">
        <v>8128</v>
      </c>
      <c r="L37" s="47"/>
      <c r="M37" s="72"/>
    </row>
    <row r="38" spans="2:13" ht="16.5" thickBot="1">
      <c r="B38" s="8" t="s">
        <v>11</v>
      </c>
      <c r="C38" s="9"/>
      <c r="D38" s="33">
        <f aca="true" t="shared" si="5" ref="D38:K38">SUM(D34:D37)+D33+D26</f>
        <v>279725</v>
      </c>
      <c r="E38" s="33">
        <f t="shared" si="5"/>
        <v>33071</v>
      </c>
      <c r="F38" s="33">
        <f t="shared" si="5"/>
        <v>240604</v>
      </c>
      <c r="G38" s="33">
        <f t="shared" si="5"/>
        <v>21370</v>
      </c>
      <c r="H38" s="33">
        <f t="shared" si="5"/>
        <v>298600</v>
      </c>
      <c r="I38" s="33">
        <f t="shared" si="5"/>
        <v>21064</v>
      </c>
      <c r="J38" s="33">
        <f t="shared" si="5"/>
        <v>350356</v>
      </c>
      <c r="K38" s="57">
        <f t="shared" si="5"/>
        <v>30001</v>
      </c>
      <c r="L38" s="47"/>
      <c r="M38" s="72"/>
    </row>
    <row r="39" spans="2:13" ht="16.5" thickTop="1">
      <c r="B39" s="8" t="s">
        <v>14</v>
      </c>
      <c r="D39" s="34">
        <f aca="true" t="shared" si="6" ref="D39:K39">D38+D16</f>
        <v>296158</v>
      </c>
      <c r="E39" s="34">
        <f t="shared" si="6"/>
        <v>34807</v>
      </c>
      <c r="F39" s="34">
        <f t="shared" si="6"/>
        <v>273542</v>
      </c>
      <c r="G39" s="34">
        <f t="shared" si="6"/>
        <v>26067</v>
      </c>
      <c r="H39" s="34">
        <f t="shared" si="6"/>
        <v>334036</v>
      </c>
      <c r="I39" s="34">
        <f t="shared" si="6"/>
        <v>25731</v>
      </c>
      <c r="J39" s="34">
        <f t="shared" si="6"/>
        <v>391604</v>
      </c>
      <c r="K39" s="56">
        <f t="shared" si="6"/>
        <v>36017</v>
      </c>
      <c r="L39" s="47"/>
      <c r="M39" s="47"/>
    </row>
    <row r="40" spans="2:13" ht="15.75">
      <c r="B40" s="6" t="s">
        <v>6</v>
      </c>
      <c r="F40" s="36"/>
      <c r="G40" s="36"/>
      <c r="H40" s="36"/>
      <c r="I40" s="36"/>
      <c r="J40" s="36"/>
      <c r="K40" s="36"/>
      <c r="L40" s="36"/>
      <c r="M40" s="36"/>
    </row>
    <row r="41" spans="6:13" ht="15.75">
      <c r="F41" s="36"/>
      <c r="G41" s="36"/>
      <c r="H41" s="36"/>
      <c r="I41" s="36"/>
      <c r="J41" s="36"/>
      <c r="K41" s="36"/>
      <c r="L41" s="36"/>
      <c r="M41" s="36"/>
    </row>
    <row r="42" spans="2:13" ht="15.75">
      <c r="B42" s="49" t="s">
        <v>40</v>
      </c>
      <c r="C42" s="3" t="s">
        <v>1</v>
      </c>
      <c r="D42" s="74">
        <v>2006</v>
      </c>
      <c r="E42" s="75"/>
      <c r="F42" s="76">
        <v>2005</v>
      </c>
      <c r="G42" s="77"/>
      <c r="H42" s="69" t="s">
        <v>46</v>
      </c>
      <c r="I42" s="70"/>
      <c r="J42" s="69" t="s">
        <v>39</v>
      </c>
      <c r="K42" s="71"/>
      <c r="L42" s="36"/>
      <c r="M42" s="36"/>
    </row>
    <row r="43" spans="2:13" ht="16.5" thickBot="1">
      <c r="B43" s="5" t="s">
        <v>5</v>
      </c>
      <c r="C43" s="5" t="s">
        <v>0</v>
      </c>
      <c r="D43" s="58" t="s">
        <v>2</v>
      </c>
      <c r="E43" s="59" t="s">
        <v>3</v>
      </c>
      <c r="F43" s="50" t="s">
        <v>2</v>
      </c>
      <c r="G43" s="51" t="s">
        <v>3</v>
      </c>
      <c r="H43" s="50" t="s">
        <v>2</v>
      </c>
      <c r="I43" s="51" t="s">
        <v>3</v>
      </c>
      <c r="J43" s="50" t="s">
        <v>2</v>
      </c>
      <c r="K43" s="73" t="s">
        <v>3</v>
      </c>
      <c r="L43" s="36"/>
      <c r="M43" s="36"/>
    </row>
    <row r="44" spans="2:14" ht="15.75">
      <c r="B44" s="36" t="s">
        <v>51</v>
      </c>
      <c r="C44" s="62">
        <f>(C27)</f>
        <v>39050</v>
      </c>
      <c r="D44" s="17">
        <v>835</v>
      </c>
      <c r="E44" s="31">
        <v>16</v>
      </c>
      <c r="F44" s="18">
        <f>SUM(F27)</f>
        <v>4838</v>
      </c>
      <c r="G44" s="18">
        <f>SUM(G27)</f>
        <v>0</v>
      </c>
      <c r="H44" s="17">
        <v>1676</v>
      </c>
      <c r="I44" s="31">
        <v>0</v>
      </c>
      <c r="J44" s="17"/>
      <c r="K44" s="31"/>
      <c r="L44" s="36"/>
      <c r="M44" s="72"/>
      <c r="N44" s="7"/>
    </row>
    <row r="45" spans="2:14" ht="15.75">
      <c r="B45" s="36" t="s">
        <v>52</v>
      </c>
      <c r="C45" s="66">
        <v>39050</v>
      </c>
      <c r="D45" s="17">
        <f>2652+17</f>
        <v>2669</v>
      </c>
      <c r="E45" s="31">
        <v>36</v>
      </c>
      <c r="F45" s="18">
        <f>2784+18</f>
        <v>2802</v>
      </c>
      <c r="G45" s="41">
        <v>115</v>
      </c>
      <c r="H45" s="17">
        <f>5124+83</f>
        <v>5207</v>
      </c>
      <c r="I45" s="31">
        <f>617+1</f>
        <v>618</v>
      </c>
      <c r="J45" s="17"/>
      <c r="K45" s="41"/>
      <c r="L45" s="36"/>
      <c r="M45" s="72"/>
      <c r="N45" s="7"/>
    </row>
    <row r="46" spans="2:14" ht="15.75">
      <c r="B46" s="36" t="s">
        <v>53</v>
      </c>
      <c r="C46" s="61">
        <f>(C30)</f>
        <v>39043</v>
      </c>
      <c r="D46" s="44">
        <f>6523+23</f>
        <v>6546</v>
      </c>
      <c r="E46" s="31">
        <v>4</v>
      </c>
      <c r="F46" s="60">
        <f>F30</f>
        <v>8109</v>
      </c>
      <c r="G46" s="60">
        <f>G30</f>
        <v>44</v>
      </c>
      <c r="H46" s="44">
        <f>25462+230</f>
        <v>25692</v>
      </c>
      <c r="I46" s="31">
        <v>0</v>
      </c>
      <c r="J46" s="17"/>
      <c r="K46" s="31"/>
      <c r="L46" s="36"/>
      <c r="M46" s="72"/>
      <c r="N46" s="7"/>
    </row>
    <row r="47" spans="2:14" ht="15.75">
      <c r="B47" s="36" t="s">
        <v>54</v>
      </c>
      <c r="C47" s="66">
        <v>39056</v>
      </c>
      <c r="D47" s="17">
        <f>958+44+2396+13+4</f>
        <v>3415</v>
      </c>
      <c r="E47" s="31">
        <f>61+301</f>
        <v>362</v>
      </c>
      <c r="F47" s="18">
        <f>642+1052+10</f>
        <v>1704</v>
      </c>
      <c r="G47" s="43">
        <f>31+25</f>
        <v>56</v>
      </c>
      <c r="H47" s="17">
        <f>866+51+621+4</f>
        <v>1542</v>
      </c>
      <c r="I47" s="43">
        <f>79+13</f>
        <v>92</v>
      </c>
      <c r="J47" s="17"/>
      <c r="K47" s="31"/>
      <c r="L47" s="36"/>
      <c r="M47" s="72"/>
      <c r="N47" s="7"/>
    </row>
    <row r="48" spans="2:14" ht="15.75">
      <c r="B48" s="36" t="s">
        <v>9</v>
      </c>
      <c r="C48" s="38">
        <v>39056</v>
      </c>
      <c r="D48" s="20">
        <f>15170+166+3281+55</f>
        <v>18672</v>
      </c>
      <c r="E48" s="23">
        <f>2770+782</f>
        <v>3552</v>
      </c>
      <c r="F48" s="64">
        <f>12548+148+1533+7138+91</f>
        <v>21458</v>
      </c>
      <c r="G48" s="46">
        <f>2139+131+274</f>
        <v>2544</v>
      </c>
      <c r="H48" s="45">
        <f>10176+119+11677+162</f>
        <v>22134</v>
      </c>
      <c r="I48" s="46">
        <f>1188+250</f>
        <v>1438</v>
      </c>
      <c r="J48" s="20"/>
      <c r="K48" s="23"/>
      <c r="L48" s="36"/>
      <c r="M48" s="72"/>
      <c r="N48" s="7"/>
    </row>
    <row r="49" spans="2:14" ht="15.75">
      <c r="B49" s="8" t="s">
        <v>13</v>
      </c>
      <c r="C49" s="2"/>
      <c r="D49" s="24">
        <f aca="true" t="shared" si="7" ref="D49:I49">SUM(D44:D48)</f>
        <v>32137</v>
      </c>
      <c r="E49" s="32">
        <f t="shared" si="7"/>
        <v>3970</v>
      </c>
      <c r="F49" s="24">
        <f t="shared" si="7"/>
        <v>38911</v>
      </c>
      <c r="G49" s="32">
        <f t="shared" si="7"/>
        <v>2759</v>
      </c>
      <c r="H49" s="24">
        <f t="shared" si="7"/>
        <v>56251</v>
      </c>
      <c r="I49" s="32">
        <f t="shared" si="7"/>
        <v>2148</v>
      </c>
      <c r="J49" s="24"/>
      <c r="K49" s="32">
        <v>2400</v>
      </c>
      <c r="L49" s="36"/>
      <c r="M49" s="72"/>
      <c r="N49" s="7"/>
    </row>
    <row r="50" spans="6:13" ht="15.75">
      <c r="F50" s="36"/>
      <c r="G50" s="36"/>
      <c r="H50" s="36"/>
      <c r="I50" s="36"/>
      <c r="J50" s="36"/>
      <c r="K50" s="36"/>
      <c r="L50" s="36"/>
      <c r="M50" s="36"/>
    </row>
    <row r="51" spans="2:17" ht="15.75">
      <c r="B51" s="49" t="s">
        <v>41</v>
      </c>
      <c r="C51" s="3" t="s">
        <v>1</v>
      </c>
      <c r="D51" s="74">
        <v>2006</v>
      </c>
      <c r="E51" s="75"/>
      <c r="F51" s="76">
        <v>2005</v>
      </c>
      <c r="G51" s="77"/>
      <c r="H51" s="69" t="s">
        <v>46</v>
      </c>
      <c r="I51" s="70"/>
      <c r="J51" s="69" t="s">
        <v>39</v>
      </c>
      <c r="K51" s="71"/>
      <c r="L51" s="36"/>
      <c r="M51" s="36"/>
      <c r="P51" s="7"/>
      <c r="Q51" s="7"/>
    </row>
    <row r="52" spans="2:13" ht="16.5" thickBot="1">
      <c r="B52" s="5" t="s">
        <v>5</v>
      </c>
      <c r="C52" s="5" t="s">
        <v>0</v>
      </c>
      <c r="D52" s="58" t="s">
        <v>2</v>
      </c>
      <c r="E52" s="59" t="s">
        <v>3</v>
      </c>
      <c r="F52" s="50" t="s">
        <v>2</v>
      </c>
      <c r="G52" s="51" t="s">
        <v>3</v>
      </c>
      <c r="H52" s="50" t="s">
        <v>2</v>
      </c>
      <c r="I52" s="51" t="s">
        <v>3</v>
      </c>
      <c r="J52" s="50" t="s">
        <v>2</v>
      </c>
      <c r="K52" s="51" t="s">
        <v>3</v>
      </c>
      <c r="L52" s="36"/>
      <c r="M52" s="36"/>
    </row>
    <row r="53" spans="2:15" ht="15.75">
      <c r="B53" s="36" t="s">
        <v>8</v>
      </c>
      <c r="C53" s="19">
        <v>39057</v>
      </c>
      <c r="D53" s="17">
        <f>176+5</f>
        <v>181</v>
      </c>
      <c r="E53" s="41">
        <v>12</v>
      </c>
      <c r="F53" s="18">
        <f>753+27</f>
        <v>780</v>
      </c>
      <c r="G53" s="41">
        <v>95</v>
      </c>
      <c r="H53" s="17">
        <f>1024+100</f>
        <v>1124</v>
      </c>
      <c r="I53" s="41">
        <f>77</f>
        <v>77</v>
      </c>
      <c r="J53" s="17"/>
      <c r="K53" s="41"/>
      <c r="L53" s="36"/>
      <c r="M53" s="72"/>
      <c r="N53" s="7">
        <f>SUM(D45+D53)</f>
        <v>2850</v>
      </c>
      <c r="O53" s="7">
        <f>SUM(E45+E53)</f>
        <v>48</v>
      </c>
    </row>
    <row r="54" spans="2:13" ht="15.75">
      <c r="B54" s="36" t="s">
        <v>10</v>
      </c>
      <c r="C54" s="66">
        <f>(C29)</f>
        <v>39057</v>
      </c>
      <c r="D54" s="17">
        <f>11+2+46504+5208</f>
        <v>51725</v>
      </c>
      <c r="E54" s="31">
        <f>4958+277</f>
        <v>5235</v>
      </c>
      <c r="F54" s="18">
        <f>SUM(F29)</f>
        <v>40831</v>
      </c>
      <c r="G54" s="18">
        <f>SUM(G29)</f>
        <v>5222</v>
      </c>
      <c r="H54" s="17">
        <f>44494+5407+128+15</f>
        <v>50044</v>
      </c>
      <c r="I54" s="31">
        <f>3923+271</f>
        <v>4194</v>
      </c>
      <c r="J54" s="17"/>
      <c r="K54" s="31"/>
      <c r="L54" s="36"/>
      <c r="M54" s="72"/>
    </row>
    <row r="55" spans="2:15" ht="15.75">
      <c r="B55" s="36" t="s">
        <v>25</v>
      </c>
      <c r="C55" s="66">
        <f>(C31)</f>
        <v>39057</v>
      </c>
      <c r="D55" s="17">
        <f>5052+188</f>
        <v>5240</v>
      </c>
      <c r="E55" s="43">
        <f>182+9</f>
        <v>191</v>
      </c>
      <c r="F55" s="18">
        <f>1233+58</f>
        <v>1291</v>
      </c>
      <c r="G55" s="43">
        <f>363+1</f>
        <v>364</v>
      </c>
      <c r="H55" s="17">
        <f>3156+168</f>
        <v>3324</v>
      </c>
      <c r="I55" s="43">
        <f>179+6</f>
        <v>185</v>
      </c>
      <c r="J55" s="17"/>
      <c r="K55" s="31"/>
      <c r="L55" s="36"/>
      <c r="M55" s="72"/>
      <c r="N55" s="7">
        <f>SUM(D47+D55)</f>
        <v>8655</v>
      </c>
      <c r="O55" s="7">
        <f>SUM(E47+E55)</f>
        <v>553</v>
      </c>
    </row>
    <row r="56" spans="2:15" ht="15.75">
      <c r="B56" s="36" t="s">
        <v>9</v>
      </c>
      <c r="C56" s="38">
        <f>(C32)</f>
        <v>39056</v>
      </c>
      <c r="D56" s="45">
        <f>9759+65+1035+2367+35</f>
        <v>13261</v>
      </c>
      <c r="E56" s="46">
        <f>2407+34+220</f>
        <v>2661</v>
      </c>
      <c r="F56" s="64">
        <f>8444+140+4841+7725+236</f>
        <v>21386</v>
      </c>
      <c r="G56" s="46">
        <f>1487+669</f>
        <v>2156</v>
      </c>
      <c r="H56" s="45">
        <f>4581+102+2531+6169+561</f>
        <v>13944</v>
      </c>
      <c r="I56" s="46">
        <f>1428+48+235+2</f>
        <v>1713</v>
      </c>
      <c r="J56" s="20"/>
      <c r="K56" s="23"/>
      <c r="L56" s="36"/>
      <c r="M56" s="72"/>
      <c r="N56" s="7">
        <f>SUM(D48+D56)</f>
        <v>31933</v>
      </c>
      <c r="O56" s="7">
        <f>SUM(E48+E56)</f>
        <v>6213</v>
      </c>
    </row>
    <row r="57" spans="2:17" ht="15.75">
      <c r="B57" s="8" t="s">
        <v>13</v>
      </c>
      <c r="C57" s="2"/>
      <c r="D57" s="24">
        <f aca="true" t="shared" si="8" ref="D57:I57">SUM(D53:D56)</f>
        <v>70407</v>
      </c>
      <c r="E57" s="32">
        <f t="shared" si="8"/>
        <v>8099</v>
      </c>
      <c r="F57" s="24">
        <f t="shared" si="8"/>
        <v>64288</v>
      </c>
      <c r="G57" s="32">
        <f t="shared" si="8"/>
        <v>7837</v>
      </c>
      <c r="H57" s="24">
        <f t="shared" si="8"/>
        <v>68436</v>
      </c>
      <c r="I57" s="32">
        <f t="shared" si="8"/>
        <v>6169</v>
      </c>
      <c r="J57" s="24"/>
      <c r="K57" s="32">
        <v>12600</v>
      </c>
      <c r="L57" s="36"/>
      <c r="M57" s="72"/>
      <c r="N57" s="7"/>
      <c r="P57" s="7"/>
      <c r="Q57" s="7"/>
    </row>
    <row r="58" spans="6:17" ht="15.75">
      <c r="F58" s="36"/>
      <c r="G58" s="36"/>
      <c r="H58" s="36"/>
      <c r="I58" s="36"/>
      <c r="J58" s="36"/>
      <c r="K58" s="36"/>
      <c r="L58" s="36"/>
      <c r="M58" s="36"/>
      <c r="P58" s="7"/>
      <c r="Q58" s="7"/>
    </row>
    <row r="59" spans="4:17" ht="15.75">
      <c r="D59" s="7"/>
      <c r="E59" s="7"/>
      <c r="F59" s="36"/>
      <c r="G59" s="36"/>
      <c r="H59" s="36"/>
      <c r="I59" s="36"/>
      <c r="J59" s="36"/>
      <c r="K59" s="36"/>
      <c r="L59" s="36"/>
      <c r="M59" s="36"/>
      <c r="N59" s="7">
        <f>SUM(D49+D57)</f>
        <v>102544</v>
      </c>
      <c r="O59" s="7">
        <f>SUM(E49+E57)</f>
        <v>12069</v>
      </c>
      <c r="P59" s="7"/>
      <c r="Q59" s="7"/>
    </row>
    <row r="60" spans="4:17" ht="15.75">
      <c r="D60" s="7"/>
      <c r="N60" s="7"/>
      <c r="O60" s="7"/>
      <c r="P60" s="7"/>
      <c r="Q60" s="7"/>
    </row>
    <row r="61" ht="15.75">
      <c r="E61" s="7"/>
    </row>
    <row r="62" spans="4:5" ht="15.75">
      <c r="D62" s="7"/>
      <c r="E62" s="7"/>
    </row>
    <row r="65" ht="15.75">
      <c r="H65" s="11"/>
    </row>
  </sheetData>
  <mergeCells count="6">
    <mergeCell ref="D51:E51"/>
    <mergeCell ref="F51:G51"/>
    <mergeCell ref="F2:G2"/>
    <mergeCell ref="D2:E2"/>
    <mergeCell ref="D42:E42"/>
    <mergeCell ref="F42:G42"/>
  </mergeCells>
  <printOptions/>
  <pageMargins left="0.7" right="0.2" top="0.98" bottom="0.76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Melcher</dc:creator>
  <cp:keywords/>
  <dc:description/>
  <cp:lastModifiedBy>Jacqui Krizo</cp:lastModifiedBy>
  <cp:lastPrinted>2005-11-03T23:41:02Z</cp:lastPrinted>
  <dcterms:created xsi:type="dcterms:W3CDTF">2000-10-02T16:04:22Z</dcterms:created>
  <dcterms:modified xsi:type="dcterms:W3CDTF">2006-12-08T09:00:58Z</dcterms:modified>
  <cp:category/>
  <cp:version/>
  <cp:contentType/>
  <cp:contentStatus/>
</cp:coreProperties>
</file>